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Live Calc" sheetId="1" r:id="rId1"/>
  </sheets>
  <definedNames>
    <definedName name="deg">'Live Calc'!$H$2</definedName>
    <definedName name="RA">'Live Calc'!$B$23</definedName>
    <definedName name="U">'Live Calc'!$C$23</definedName>
    <definedName name="w">'Live Calc'!#REF!</definedName>
  </definedNames>
  <calcPr fullCalcOnLoad="1"/>
</workbook>
</file>

<file path=xl/sharedStrings.xml><?xml version="1.0" encoding="utf-8"?>
<sst xmlns="http://schemas.openxmlformats.org/spreadsheetml/2006/main" count="95" uniqueCount="66">
  <si>
    <t>Orbit 1</t>
  </si>
  <si>
    <t>Orbit 2</t>
  </si>
  <si>
    <t>Central Body</t>
  </si>
  <si>
    <t>Earth</t>
  </si>
  <si>
    <t>Mercury</t>
  </si>
  <si>
    <t>Venus</t>
  </si>
  <si>
    <t>Moon</t>
  </si>
  <si>
    <t>Mars</t>
  </si>
  <si>
    <t>Jupiter</t>
  </si>
  <si>
    <t>Saturn</t>
  </si>
  <si>
    <t>Uranus</t>
  </si>
  <si>
    <t>Neptune</t>
  </si>
  <si>
    <t>Pluto</t>
  </si>
  <si>
    <t>Units</t>
  </si>
  <si>
    <t>km</t>
  </si>
  <si>
    <r>
      <t>μ (km</t>
    </r>
    <r>
      <rPr>
        <b/>
        <vertAlign val="superscript"/>
        <sz val="10"/>
        <rFont val="Geneva"/>
        <family val="0"/>
      </rPr>
      <t>3</t>
    </r>
    <r>
      <rPr>
        <b/>
        <sz val="10"/>
        <rFont val="Geneva"/>
        <family val="0"/>
      </rPr>
      <t>/s</t>
    </r>
    <r>
      <rPr>
        <b/>
        <vertAlign val="superscript"/>
        <sz val="10"/>
        <rFont val="Geneva"/>
        <family val="0"/>
      </rPr>
      <t>2</t>
    </r>
    <r>
      <rPr>
        <b/>
        <sz val="10"/>
        <rFont val="Geneva"/>
        <family val="0"/>
      </rPr>
      <t>)</t>
    </r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</si>
  <si>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/s</t>
    </r>
    <r>
      <rPr>
        <vertAlign val="superscript"/>
        <sz val="10"/>
        <rFont val="Geneva"/>
        <family val="0"/>
      </rPr>
      <t>2</t>
    </r>
  </si>
  <si>
    <t>User inputs in Orange</t>
  </si>
  <si>
    <t>min</t>
  </si>
  <si>
    <t>Constants and Conversion Factors</t>
  </si>
  <si>
    <t>Input Parameters</t>
  </si>
  <si>
    <t>Radian</t>
  </si>
  <si>
    <t>deg</t>
  </si>
  <si>
    <t>Year</t>
  </si>
  <si>
    <r>
      <t>μ</t>
    </r>
    <r>
      <rPr>
        <b/>
        <vertAlign val="subscript"/>
        <sz val="10"/>
        <rFont val="Geneva"/>
        <family val="0"/>
      </rPr>
      <t>sun</t>
    </r>
  </si>
  <si>
    <t>deg N</t>
  </si>
  <si>
    <t>deg E</t>
  </si>
  <si>
    <t>Perigee</t>
  </si>
  <si>
    <t>Apogee</t>
  </si>
  <si>
    <t>Other</t>
  </si>
  <si>
    <t>Radius (km)</t>
  </si>
  <si>
    <t>deg/s</t>
  </si>
  <si>
    <t>sec</t>
  </si>
  <si>
    <r>
      <t>Minimum Elevation Angle (</t>
    </r>
    <r>
      <rPr>
        <b/>
        <i/>
        <sz val="10"/>
        <rFont val="Arial"/>
        <family val="2"/>
      </rPr>
      <t>ε</t>
    </r>
    <r>
      <rPr>
        <b/>
        <sz val="10"/>
        <rFont val="Arial"/>
        <family val="0"/>
      </rPr>
      <t>)</t>
    </r>
  </si>
  <si>
    <r>
      <t>Orbit Pole Latitude (</t>
    </r>
    <r>
      <rPr>
        <b/>
        <i/>
        <sz val="10"/>
        <rFont val="Geneva"/>
        <family val="0"/>
      </rPr>
      <t>δ</t>
    </r>
    <r>
      <rPr>
        <b/>
        <i/>
        <vertAlign val="subscript"/>
        <sz val="10"/>
        <rFont val="Geneva"/>
        <family val="0"/>
      </rPr>
      <t>OP</t>
    </r>
    <r>
      <rPr>
        <b/>
        <sz val="10"/>
        <rFont val="Geneva"/>
        <family val="0"/>
      </rPr>
      <t>)</t>
    </r>
  </si>
  <si>
    <r>
      <t>Orbit Pole Longitude (</t>
    </r>
    <r>
      <rPr>
        <b/>
        <i/>
        <sz val="10"/>
        <rFont val="Geneva"/>
        <family val="0"/>
      </rPr>
      <t>α</t>
    </r>
    <r>
      <rPr>
        <b/>
        <i/>
        <vertAlign val="subscript"/>
        <sz val="10"/>
        <rFont val="Geneva"/>
        <family val="0"/>
      </rPr>
      <t>OP</t>
    </r>
    <r>
      <rPr>
        <b/>
        <sz val="10"/>
        <rFont val="Geneva"/>
        <family val="0"/>
      </rPr>
      <t>)</t>
    </r>
  </si>
  <si>
    <r>
      <t>Ground Station Latitude (</t>
    </r>
    <r>
      <rPr>
        <b/>
        <i/>
        <sz val="10"/>
        <rFont val="Geneva"/>
        <family val="0"/>
      </rPr>
      <t>δ</t>
    </r>
    <r>
      <rPr>
        <b/>
        <i/>
        <vertAlign val="subscript"/>
        <sz val="10"/>
        <rFont val="Geneva"/>
        <family val="0"/>
      </rPr>
      <t>GS</t>
    </r>
    <r>
      <rPr>
        <b/>
        <sz val="10"/>
        <rFont val="Geneva"/>
        <family val="0"/>
      </rPr>
      <t>)</t>
    </r>
  </si>
  <si>
    <r>
      <t>Ground Station Longitude (</t>
    </r>
    <r>
      <rPr>
        <b/>
        <i/>
        <sz val="10"/>
        <rFont val="Geneva"/>
        <family val="0"/>
      </rPr>
      <t>α</t>
    </r>
    <r>
      <rPr>
        <b/>
        <i/>
        <vertAlign val="subscript"/>
        <sz val="10"/>
        <rFont val="Geneva"/>
        <family val="0"/>
      </rPr>
      <t>GS</t>
    </r>
    <r>
      <rPr>
        <b/>
        <sz val="10"/>
        <rFont val="Geneva"/>
        <family val="0"/>
      </rPr>
      <t>)</t>
    </r>
  </si>
  <si>
    <r>
      <t>Eccentricity (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0"/>
      </rPr>
      <t>)</t>
    </r>
  </si>
  <si>
    <r>
      <t>Earth angular radius (</t>
    </r>
    <r>
      <rPr>
        <b/>
        <i/>
        <sz val="10"/>
        <rFont val="Arial"/>
        <family val="2"/>
      </rPr>
      <t>ρ</t>
    </r>
    <r>
      <rPr>
        <b/>
        <sz val="10"/>
        <rFont val="Arial"/>
        <family val="2"/>
      </rPr>
      <t>)</t>
    </r>
  </si>
  <si>
    <r>
      <t>Semimajor Axis (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</si>
  <si>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r>
      <t>Period, (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>)</t>
    </r>
  </si>
  <si>
    <r>
      <t>Mean motion 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</si>
  <si>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Max nadir angle (</t>
    </r>
    <r>
      <rPr>
        <b/>
        <i/>
        <sz val="10"/>
        <rFont val="Arial"/>
        <family val="2"/>
      </rPr>
      <t>η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</si>
  <si>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Max Earth central angle (</t>
    </r>
    <r>
      <rPr>
        <b/>
        <i/>
        <sz val="10"/>
        <rFont val="Arial"/>
        <family val="2"/>
      </rPr>
      <t>λ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</si>
  <si>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Max distance (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</si>
  <si>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Min Earth central angle (</t>
    </r>
    <r>
      <rPr>
        <b/>
        <i/>
        <sz val="10"/>
        <rFont val="Arial"/>
        <family val="2"/>
      </rPr>
      <t>λ</t>
    </r>
    <r>
      <rPr>
        <b/>
        <i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)</t>
    </r>
  </si>
  <si>
    <r>
      <t>Min nadir angle (</t>
    </r>
    <r>
      <rPr>
        <b/>
        <i/>
        <sz val="10"/>
        <rFont val="Arial"/>
        <family val="2"/>
      </rPr>
      <t>η</t>
    </r>
    <r>
      <rPr>
        <b/>
        <i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)</t>
    </r>
  </si>
  <si>
    <r>
      <t>Max elevation angle (</t>
    </r>
    <r>
      <rPr>
        <b/>
        <i/>
        <sz val="10"/>
        <rFont val="Arial"/>
        <family val="2"/>
      </rPr>
      <t>ε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</si>
  <si>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Min distance (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)</t>
    </r>
  </si>
  <si>
    <r>
      <t>Max angular rate (</t>
    </r>
    <r>
      <rPr>
        <b/>
        <i/>
        <sz val="10"/>
        <rFont val="Arial"/>
        <family val="2"/>
      </rPr>
      <t>θdot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</si>
  <si>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Azimuth range (Δ</t>
    </r>
    <r>
      <rPr>
        <b/>
        <i/>
        <sz val="10"/>
        <rFont val="Arial"/>
        <family val="2"/>
      </rPr>
      <t>Φ</t>
    </r>
    <r>
      <rPr>
        <b/>
        <sz val="10"/>
        <rFont val="Arial"/>
        <family val="2"/>
      </rPr>
      <t>)</t>
    </r>
  </si>
  <si>
    <r>
      <t>Azimuth of center of pass (</t>
    </r>
    <r>
      <rPr>
        <b/>
        <i/>
        <sz val="10"/>
        <rFont val="Arial"/>
        <family val="2"/>
      </rPr>
      <t>Φ</t>
    </r>
    <r>
      <rPr>
        <b/>
        <i/>
        <vertAlign val="subscript"/>
        <sz val="10"/>
        <rFont val="Arial"/>
        <family val="2"/>
      </rPr>
      <t>center</t>
    </r>
    <r>
      <rPr>
        <b/>
        <sz val="10"/>
        <rFont val="Arial"/>
        <family val="2"/>
      </rPr>
      <t>)</t>
    </r>
  </si>
  <si>
    <r>
      <t>Time in view (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</si>
  <si>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μ</t>
    </r>
    <r>
      <rPr>
        <b/>
        <sz val="10"/>
        <rFont val="Geneva"/>
        <family val="0"/>
      </rPr>
      <t xml:space="preserve"> (km</t>
    </r>
    <r>
      <rPr>
        <b/>
        <vertAlign val="superscript"/>
        <sz val="10"/>
        <rFont val="Geneva"/>
        <family val="0"/>
      </rPr>
      <t>3</t>
    </r>
    <r>
      <rPr>
        <b/>
        <sz val="10"/>
        <rFont val="Geneva"/>
        <family val="0"/>
      </rPr>
      <t>/s</t>
    </r>
    <r>
      <rPr>
        <b/>
        <vertAlign val="superscript"/>
        <sz val="10"/>
        <rFont val="Geneva"/>
        <family val="0"/>
      </rPr>
      <t>2</t>
    </r>
    <r>
      <rPr>
        <b/>
        <sz val="10"/>
        <rFont val="Geneva"/>
        <family val="0"/>
      </rPr>
      <t>)</t>
    </r>
  </si>
  <si>
    <t>See text for explanation.</t>
  </si>
  <si>
    <t>Copy the desired central body parameters from col. G-I, rows 7-17 and paste into col. A-C, row 22.</t>
  </si>
  <si>
    <t>Table 8-12. Summary of Computations for Ground Station Passes for Elliptical Orbits</t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</si>
  <si>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</si>
  <si>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</si>
  <si>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r>
      <t>Inclination (</t>
    </r>
    <r>
      <rPr>
        <b/>
        <i/>
        <sz val="10"/>
        <rFont val="Geneva"/>
        <family val="0"/>
      </rPr>
      <t>i</t>
    </r>
    <r>
      <rPr>
        <b/>
        <sz val="10"/>
        <rFont val="Geneva"/>
        <family val="0"/>
      </rPr>
      <t>)</t>
    </r>
  </si>
  <si>
    <t>Implemented by Becky Christofferson, and Anthony Shao, Microcosm. Contact: bookproject@smad.com</t>
  </si>
  <si>
    <t>Input a mass in J18 if you choose the 'Other' central body</t>
  </si>
  <si>
    <r>
      <t>Orbital Angular Velocity (</t>
    </r>
    <r>
      <rPr>
        <b/>
        <i/>
        <sz val="10"/>
        <rFont val="Arial"/>
        <family val="2"/>
      </rPr>
      <t>ω</t>
    </r>
    <r>
      <rPr>
        <b/>
        <sz val="10"/>
        <rFont val="Arial"/>
        <family val="2"/>
      </rPr>
      <t>)</t>
    </r>
  </si>
  <si>
    <t>Mass of 'Other' Central Body (kg)</t>
  </si>
  <si>
    <t>Version 1.1. February 22, 2012. copyright, 2012, Microcosm, Inc.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</si>
</sst>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#,##0.0"/>
    <numFmt numFmtId="169" formatCode="0.00000"/>
    <numFmt numFmtId="170" formatCode="0.00000000"/>
    <numFmt numFmtId="171" formatCode="0.0000000"/>
    <numFmt numFmtId="172" formatCode="#,##0.000"/>
    <numFmt numFmtId="173" formatCode="#,##0.0000"/>
    <numFmt numFmtId="174" formatCode="0.000000E+00"/>
    <numFmt numFmtId="175" formatCode="0.00000E+00"/>
    <numFmt numFmtId="176" formatCode="0.0E+00"/>
  </numFmts>
  <fonts count="16">
    <font>
      <sz val="10"/>
      <name val="Arial"/>
      <family val="0"/>
    </font>
    <font>
      <b/>
      <sz val="10"/>
      <name val="Geneva"/>
      <family val="0"/>
    </font>
    <font>
      <b/>
      <sz val="10"/>
      <name val="Arial"/>
      <family val="2"/>
    </font>
    <font>
      <sz val="10"/>
      <name val="Geneva"/>
      <family val="0"/>
    </font>
    <font>
      <b/>
      <vertAlign val="superscript"/>
      <sz val="10"/>
      <name val="Geneva"/>
      <family val="0"/>
    </font>
    <font>
      <vertAlign val="superscript"/>
      <sz val="10"/>
      <name val="Geneva"/>
      <family val="0"/>
    </font>
    <font>
      <b/>
      <i/>
      <sz val="10"/>
      <name val="Geneva"/>
      <family val="0"/>
    </font>
    <font>
      <b/>
      <vertAlign val="subscript"/>
      <sz val="10"/>
      <name val="Geneva"/>
      <family val="0"/>
    </font>
    <font>
      <b/>
      <sz val="10"/>
      <color indexed="10"/>
      <name val="Geneva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Geneva"/>
      <family val="0"/>
    </font>
    <font>
      <b/>
      <i/>
      <vertAlign val="subscript"/>
      <sz val="10"/>
      <name val="Arial"/>
      <family val="2"/>
    </font>
    <font>
      <i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2" xfId="0" applyNumberFormat="1" applyFont="1" applyBorder="1" applyAlignment="1">
      <alignment/>
    </xf>
    <xf numFmtId="11" fontId="3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0" borderId="2" xfId="0" applyFont="1" applyBorder="1" applyAlignment="1">
      <alignment/>
    </xf>
    <xf numFmtId="11" fontId="3" fillId="0" borderId="5" xfId="0" applyNumberFormat="1" applyFont="1" applyBorder="1" applyAlignment="1">
      <alignment/>
    </xf>
    <xf numFmtId="3" fontId="3" fillId="0" borderId="6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1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3" fontId="1" fillId="5" borderId="5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quotePrefix="1">
      <alignment horizontal="right"/>
    </xf>
    <xf numFmtId="11" fontId="3" fillId="0" borderId="0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164" fontId="0" fillId="0" borderId="7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164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3" fontId="3" fillId="6" borderId="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3" fontId="3" fillId="6" borderId="6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68" fontId="3" fillId="0" borderId="6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75" fontId="0" fillId="0" borderId="17" xfId="0" applyNumberFormat="1" applyBorder="1" applyAlignment="1">
      <alignment/>
    </xf>
    <xf numFmtId="2" fontId="1" fillId="7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1" fillId="2" borderId="19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9" fontId="0" fillId="2" borderId="1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9" fontId="0" fillId="2" borderId="9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left" wrapText="1"/>
    </xf>
    <xf numFmtId="0" fontId="2" fillId="3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1" fontId="0" fillId="6" borderId="13" xfId="0" applyNumberFormat="1" applyFill="1" applyBorder="1" applyAlignment="1">
      <alignment horizontal="center"/>
    </xf>
    <xf numFmtId="0" fontId="1" fillId="2" borderId="28" xfId="0" applyFont="1" applyFill="1" applyBorder="1" applyAlignment="1">
      <alignment/>
    </xf>
    <xf numFmtId="166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1" fillId="7" borderId="27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/>
    </xf>
    <xf numFmtId="2" fontId="3" fillId="7" borderId="9" xfId="0" applyNumberFormat="1" applyFont="1" applyFill="1" applyBorder="1" applyAlignment="1">
      <alignment horizontal="left"/>
    </xf>
    <xf numFmtId="2" fontId="3" fillId="7" borderId="6" xfId="0" applyNumberFormat="1" applyFont="1" applyFill="1" applyBorder="1" applyAlignment="1">
      <alignment horizontal="left"/>
    </xf>
    <xf numFmtId="2" fontId="3" fillId="7" borderId="2" xfId="0" applyNumberFormat="1" applyFont="1" applyFill="1" applyBorder="1" applyAlignment="1">
      <alignment horizontal="left"/>
    </xf>
    <xf numFmtId="0" fontId="3" fillId="5" borderId="9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12.57421875" style="0" customWidth="1"/>
    <col min="4" max="4" width="12.57421875" style="0" bestFit="1" customWidth="1"/>
    <col min="5" max="5" width="13.140625" style="0" customWidth="1"/>
    <col min="6" max="6" width="7.140625" style="0" customWidth="1"/>
    <col min="7" max="7" width="14.8515625" style="0" bestFit="1" customWidth="1"/>
    <col min="8" max="8" width="12.7109375" style="0" customWidth="1"/>
    <col min="9" max="9" width="11.140625" style="0" bestFit="1" customWidth="1"/>
    <col min="10" max="10" width="14.00390625" style="0" customWidth="1"/>
    <col min="11" max="11" width="12.140625" style="0" customWidth="1"/>
    <col min="12" max="12" width="9.57421875" style="0" bestFit="1" customWidth="1"/>
    <col min="13" max="13" width="10.8515625" style="0" customWidth="1"/>
    <col min="14" max="14" width="12.421875" style="0" bestFit="1" customWidth="1"/>
    <col min="15" max="15" width="9.57421875" style="0" bestFit="1" customWidth="1"/>
    <col min="16" max="16" width="11.140625" style="0" bestFit="1" customWidth="1"/>
    <col min="17" max="17" width="10.140625" style="0" bestFit="1" customWidth="1"/>
    <col min="18" max="18" width="18.28125" style="0" bestFit="1" customWidth="1"/>
    <col min="19" max="19" width="9.57421875" style="0" bestFit="1" customWidth="1"/>
    <col min="20" max="20" width="9.00390625" style="0" bestFit="1" customWidth="1"/>
  </cols>
  <sheetData>
    <row r="1" spans="1:18" ht="13.5" thickBot="1">
      <c r="A1" s="3" t="s">
        <v>57</v>
      </c>
      <c r="B1" s="4"/>
      <c r="C1" s="4"/>
      <c r="D1" s="4"/>
      <c r="E1" s="4"/>
      <c r="F1" s="50"/>
      <c r="G1" s="115" t="s">
        <v>19</v>
      </c>
      <c r="H1" s="116"/>
      <c r="I1" s="117"/>
      <c r="J1" s="50"/>
      <c r="N1" s="50"/>
      <c r="O1" s="50"/>
      <c r="P1" s="50"/>
      <c r="Q1" s="50"/>
      <c r="R1" s="50"/>
    </row>
    <row r="2" spans="1:18" ht="12.75">
      <c r="A2" s="4" t="s">
        <v>61</v>
      </c>
      <c r="B2" s="4"/>
      <c r="C2" s="4"/>
      <c r="D2" s="4"/>
      <c r="E2" s="4"/>
      <c r="F2" s="41"/>
      <c r="G2" s="110" t="s">
        <v>21</v>
      </c>
      <c r="H2" s="111">
        <f>180/PI()</f>
        <v>57.29577951308232</v>
      </c>
      <c r="I2" s="112" t="s">
        <v>22</v>
      </c>
      <c r="J2" s="24"/>
      <c r="N2" s="42"/>
      <c r="O2" s="2"/>
      <c r="P2" s="2"/>
      <c r="Q2" s="2"/>
      <c r="R2" s="24"/>
    </row>
    <row r="3" spans="1:18" ht="12.75">
      <c r="A3" s="4" t="s">
        <v>65</v>
      </c>
      <c r="B3" s="4"/>
      <c r="C3" s="4"/>
      <c r="D3" s="4"/>
      <c r="E3" s="4"/>
      <c r="F3" s="9"/>
      <c r="G3" s="81" t="s">
        <v>23</v>
      </c>
      <c r="H3" s="87">
        <f>60*24*365.25</f>
        <v>525960</v>
      </c>
      <c r="I3" s="88" t="s">
        <v>18</v>
      </c>
      <c r="J3" s="15"/>
      <c r="N3" s="43"/>
      <c r="O3" s="15"/>
      <c r="P3" s="15"/>
      <c r="Q3" s="15"/>
      <c r="R3" s="44"/>
    </row>
    <row r="4" spans="1:18" ht="15">
      <c r="A4" s="72" t="s">
        <v>55</v>
      </c>
      <c r="B4" s="4"/>
      <c r="C4" s="4"/>
      <c r="D4" s="4"/>
      <c r="E4" s="4"/>
      <c r="F4" s="9"/>
      <c r="G4" s="86" t="s">
        <v>24</v>
      </c>
      <c r="H4" s="89">
        <f>1.32712440041*10^11</f>
        <v>132712440041</v>
      </c>
      <c r="I4" s="90" t="s">
        <v>16</v>
      </c>
      <c r="J4" s="15"/>
      <c r="N4" s="15"/>
      <c r="O4" s="15"/>
      <c r="P4" s="15"/>
      <c r="Q4" s="15"/>
      <c r="R4" s="44"/>
    </row>
    <row r="5" spans="1:18" ht="15" thickBot="1">
      <c r="A5" s="5"/>
      <c r="B5" s="6"/>
      <c r="C5" s="6"/>
      <c r="D5" s="6"/>
      <c r="E5" s="6"/>
      <c r="F5" s="9"/>
      <c r="G5" s="82" t="s">
        <v>58</v>
      </c>
      <c r="H5" s="83">
        <v>6.67428E-20</v>
      </c>
      <c r="I5" s="85" t="s">
        <v>59</v>
      </c>
      <c r="J5" s="46"/>
      <c r="K5" s="46"/>
      <c r="L5" s="46"/>
      <c r="M5" s="46"/>
      <c r="N5" s="46"/>
      <c r="O5" s="46"/>
      <c r="P5" s="46"/>
      <c r="Q5" s="47"/>
      <c r="R5" s="44"/>
    </row>
    <row r="6" spans="1:18" ht="13.5" thickBot="1">
      <c r="A6" s="128" t="s">
        <v>17</v>
      </c>
      <c r="B6" s="129"/>
      <c r="C6" s="130"/>
      <c r="D6" s="2"/>
      <c r="E6" s="2"/>
      <c r="F6" s="9"/>
      <c r="J6" s="45"/>
      <c r="K6" s="47"/>
      <c r="L6" s="45"/>
      <c r="M6" s="45"/>
      <c r="N6" s="45"/>
      <c r="O6" s="45"/>
      <c r="P6" s="45"/>
      <c r="Q6" s="48"/>
      <c r="R6" s="49"/>
    </row>
    <row r="7" spans="1:17" ht="13.5" customHeight="1">
      <c r="A7" s="119" t="s">
        <v>62</v>
      </c>
      <c r="B7" s="120"/>
      <c r="C7" s="121"/>
      <c r="E7" s="1"/>
      <c r="F7" s="9"/>
      <c r="G7" s="27" t="s">
        <v>2</v>
      </c>
      <c r="H7" s="28" t="s">
        <v>30</v>
      </c>
      <c r="I7" s="107" t="s">
        <v>54</v>
      </c>
      <c r="J7" s="16"/>
      <c r="K7" s="15"/>
      <c r="L7" s="15"/>
      <c r="M7" s="15"/>
      <c r="N7" s="15"/>
      <c r="O7" s="15"/>
      <c r="P7" s="15"/>
      <c r="Q7" s="11"/>
    </row>
    <row r="8" spans="1:9" ht="14.25" customHeight="1">
      <c r="A8" s="122" t="s">
        <v>56</v>
      </c>
      <c r="B8" s="123"/>
      <c r="C8" s="124"/>
      <c r="D8" s="1"/>
      <c r="E8" s="1"/>
      <c r="F8" s="1"/>
      <c r="G8" s="29" t="s">
        <v>4</v>
      </c>
      <c r="H8" s="23">
        <v>2439.7</v>
      </c>
      <c r="I8" s="30">
        <f>2.20321*10^4</f>
        <v>22032.1</v>
      </c>
    </row>
    <row r="9" spans="1:20" ht="13.5" thickBot="1">
      <c r="A9" s="125"/>
      <c r="B9" s="126"/>
      <c r="C9" s="127"/>
      <c r="D9" s="7"/>
      <c r="E9" s="7"/>
      <c r="F9" s="7"/>
      <c r="G9" s="29" t="s">
        <v>5</v>
      </c>
      <c r="H9" s="23">
        <v>6051.8</v>
      </c>
      <c r="I9" s="30">
        <f>3.248585917*10^5</f>
        <v>324858.59170000005</v>
      </c>
      <c r="J9" s="10"/>
      <c r="K9" s="10"/>
      <c r="O9" s="10"/>
      <c r="P9" s="10"/>
      <c r="Q9" s="10"/>
      <c r="R9" s="10"/>
      <c r="S9" s="10"/>
      <c r="T9" s="11"/>
    </row>
    <row r="10" spans="1:20" ht="13.5" thickBot="1">
      <c r="A10" s="8"/>
      <c r="B10" s="7"/>
      <c r="C10" s="7"/>
      <c r="D10" s="7"/>
      <c r="E10" s="7"/>
      <c r="F10" s="7"/>
      <c r="G10" s="31" t="s">
        <v>3</v>
      </c>
      <c r="H10" s="23">
        <v>6378.1366</v>
      </c>
      <c r="I10" s="30">
        <v>398600.4356</v>
      </c>
      <c r="J10" s="10"/>
      <c r="K10" s="10"/>
      <c r="O10" s="10"/>
      <c r="P10" s="10"/>
      <c r="Q10" s="10"/>
      <c r="R10" s="10"/>
      <c r="S10" s="10"/>
      <c r="T10" s="11"/>
    </row>
    <row r="11" spans="1:9" ht="13.5" thickBot="1">
      <c r="A11" s="19" t="s">
        <v>20</v>
      </c>
      <c r="B11" s="73" t="s">
        <v>0</v>
      </c>
      <c r="C11" s="74" t="s">
        <v>1</v>
      </c>
      <c r="D11" s="20" t="s">
        <v>13</v>
      </c>
      <c r="G11" s="31" t="s">
        <v>6</v>
      </c>
      <c r="H11" s="23">
        <v>1737.4</v>
      </c>
      <c r="I11" s="30">
        <v>4902.80015</v>
      </c>
    </row>
    <row r="12" spans="1:9" ht="12.75">
      <c r="A12" s="57" t="s">
        <v>27</v>
      </c>
      <c r="B12" s="75">
        <v>500</v>
      </c>
      <c r="C12" s="75">
        <v>300</v>
      </c>
      <c r="D12" s="12" t="s">
        <v>14</v>
      </c>
      <c r="G12" s="32" t="s">
        <v>7</v>
      </c>
      <c r="H12" s="23">
        <v>3397</v>
      </c>
      <c r="I12" s="30">
        <v>42828.37522</v>
      </c>
    </row>
    <row r="13" spans="1:9" ht="12.75">
      <c r="A13" s="58" t="s">
        <v>28</v>
      </c>
      <c r="B13" s="76">
        <v>40000</v>
      </c>
      <c r="C13" s="76">
        <v>1000</v>
      </c>
      <c r="D13" s="21" t="s">
        <v>14</v>
      </c>
      <c r="G13" s="33" t="s">
        <v>8</v>
      </c>
      <c r="H13" s="34">
        <v>71492</v>
      </c>
      <c r="I13" s="30">
        <f>1.267127626*10^8</f>
        <v>126712762.6</v>
      </c>
    </row>
    <row r="14" spans="1:9" ht="13.5" thickBot="1">
      <c r="A14" s="58" t="s">
        <v>60</v>
      </c>
      <c r="B14" s="77">
        <v>63.4</v>
      </c>
      <c r="C14" s="77">
        <v>30</v>
      </c>
      <c r="D14" s="13" t="s">
        <v>22</v>
      </c>
      <c r="G14" s="35" t="s">
        <v>9</v>
      </c>
      <c r="H14" s="34">
        <v>60268</v>
      </c>
      <c r="I14" s="30">
        <f>3.79405849*10^7</f>
        <v>37940584.9</v>
      </c>
    </row>
    <row r="15" spans="1:21" ht="12.75">
      <c r="A15" s="59" t="s">
        <v>33</v>
      </c>
      <c r="B15" s="77">
        <v>5</v>
      </c>
      <c r="C15" s="77">
        <v>5</v>
      </c>
      <c r="D15" s="14" t="s">
        <v>22</v>
      </c>
      <c r="G15" s="36" t="s">
        <v>10</v>
      </c>
      <c r="H15" s="23">
        <v>25559</v>
      </c>
      <c r="I15" s="30">
        <f>5.794549*10^6</f>
        <v>5794549</v>
      </c>
      <c r="J15" s="113" t="s">
        <v>64</v>
      </c>
      <c r="K15" s="15"/>
      <c r="L15" s="15"/>
      <c r="M15" s="10"/>
      <c r="N15" s="16"/>
      <c r="O15" s="15"/>
      <c r="P15" s="15"/>
      <c r="Q15" s="15"/>
      <c r="R15" s="15"/>
      <c r="S15" s="15"/>
      <c r="T15" s="15"/>
      <c r="U15" s="11"/>
    </row>
    <row r="16" spans="1:21" ht="14.25">
      <c r="A16" s="58" t="s">
        <v>34</v>
      </c>
      <c r="B16" s="78">
        <f>90-B14</f>
        <v>26.6</v>
      </c>
      <c r="C16" s="78">
        <f>90-C14</f>
        <v>60</v>
      </c>
      <c r="D16" s="14" t="s">
        <v>25</v>
      </c>
      <c r="G16" s="36" t="s">
        <v>11</v>
      </c>
      <c r="H16" s="23">
        <v>24764</v>
      </c>
      <c r="I16" s="30">
        <f>6.836527*10^6</f>
        <v>6836527</v>
      </c>
      <c r="J16" s="11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ht="14.25">
      <c r="A17" s="58" t="s">
        <v>35</v>
      </c>
      <c r="B17" s="77">
        <v>150</v>
      </c>
      <c r="C17" s="77">
        <v>100</v>
      </c>
      <c r="D17" s="14" t="s">
        <v>26</v>
      </c>
      <c r="G17" s="36" t="s">
        <v>12</v>
      </c>
      <c r="H17" s="23">
        <v>1195</v>
      </c>
      <c r="I17" s="30">
        <f>9.7178*10^2</f>
        <v>971.7800000000001</v>
      </c>
      <c r="J17" s="114"/>
      <c r="K17" s="17"/>
      <c r="L17" s="4"/>
      <c r="M17" s="4"/>
      <c r="N17" s="4"/>
      <c r="O17" s="4"/>
      <c r="P17" s="4"/>
      <c r="Q17" s="4"/>
      <c r="R17" s="18"/>
      <c r="S17" s="4"/>
      <c r="T17" s="4"/>
      <c r="U17" s="4"/>
    </row>
    <row r="18" spans="1:21" ht="15" thickBot="1">
      <c r="A18" s="58" t="s">
        <v>36</v>
      </c>
      <c r="B18" s="77">
        <v>33.5</v>
      </c>
      <c r="C18" s="77">
        <v>33.5</v>
      </c>
      <c r="D18" s="14" t="s">
        <v>25</v>
      </c>
      <c r="G18" s="84" t="s">
        <v>29</v>
      </c>
      <c r="H18" s="71">
        <v>5000</v>
      </c>
      <c r="I18" s="108">
        <f>H5*J18</f>
        <v>66742.8</v>
      </c>
      <c r="J18" s="109">
        <f>10^24</f>
        <v>1E+24</v>
      </c>
      <c r="K18" s="17"/>
      <c r="L18" s="4"/>
      <c r="M18" s="4"/>
      <c r="N18" s="4"/>
      <c r="O18" s="4"/>
      <c r="P18" s="4"/>
      <c r="Q18" s="4"/>
      <c r="R18" s="18"/>
      <c r="S18" s="4"/>
      <c r="T18" s="4"/>
      <c r="U18" s="4"/>
    </row>
    <row r="19" spans="1:21" ht="14.25">
      <c r="A19" s="58" t="s">
        <v>37</v>
      </c>
      <c r="B19" s="77">
        <v>248</v>
      </c>
      <c r="C19" s="77">
        <v>248</v>
      </c>
      <c r="D19" s="14" t="s">
        <v>26</v>
      </c>
      <c r="J19" s="4"/>
      <c r="K19" s="17"/>
      <c r="L19" s="4"/>
      <c r="M19" s="4"/>
      <c r="N19" s="4"/>
      <c r="O19" s="4"/>
      <c r="P19" s="4"/>
      <c r="Q19" s="4"/>
      <c r="R19" s="18"/>
      <c r="S19" s="4"/>
      <c r="T19" s="4"/>
      <c r="U19" s="4"/>
    </row>
    <row r="20" spans="1:21" ht="13.5" thickBot="1">
      <c r="A20" s="60" t="s">
        <v>38</v>
      </c>
      <c r="B20" s="79">
        <f>(B13+RA-(RA+B12))/(B12+B13+RA+RA)</f>
        <v>0.7416966608170398</v>
      </c>
      <c r="C20" s="79">
        <f>(C13+RA-(RA+C12))/(C12+C13+RA+RA)</f>
        <v>0.04979982887640516</v>
      </c>
      <c r="D20" s="22"/>
      <c r="H20" s="93"/>
      <c r="J20" s="4"/>
      <c r="K20" s="17"/>
      <c r="L20" s="4"/>
      <c r="M20" s="4"/>
      <c r="N20" s="4"/>
      <c r="O20" s="4"/>
      <c r="P20" s="4"/>
      <c r="Q20" s="4"/>
      <c r="R20" s="18"/>
      <c r="S20" s="4"/>
      <c r="T20" s="4"/>
      <c r="U20" s="4"/>
    </row>
    <row r="21" spans="1:21" ht="13.5" thickBot="1">
      <c r="A21" s="26"/>
      <c r="B21" s="24"/>
      <c r="C21" s="24"/>
      <c r="D21" s="25"/>
      <c r="H21" s="93"/>
      <c r="J21" s="4"/>
      <c r="K21" s="17"/>
      <c r="L21" s="4"/>
      <c r="M21" s="4"/>
      <c r="N21" s="4"/>
      <c r="O21" s="4"/>
      <c r="P21" s="4"/>
      <c r="Q21" s="4"/>
      <c r="R21" s="18"/>
      <c r="S21" s="4"/>
      <c r="T21" s="4"/>
      <c r="U21" s="4"/>
    </row>
    <row r="22" spans="1:21" ht="14.25">
      <c r="A22" s="27" t="s">
        <v>2</v>
      </c>
      <c r="B22" s="28" t="s">
        <v>30</v>
      </c>
      <c r="C22" s="37" t="s">
        <v>15</v>
      </c>
      <c r="D22" s="25"/>
      <c r="J22" s="4"/>
      <c r="K22" s="17"/>
      <c r="L22" s="4"/>
      <c r="M22" s="4"/>
      <c r="N22" s="4"/>
      <c r="O22" s="4"/>
      <c r="P22" s="4"/>
      <c r="Q22" s="4"/>
      <c r="R22" s="18"/>
      <c r="S22" s="4"/>
      <c r="T22" s="4"/>
      <c r="U22" s="4"/>
    </row>
    <row r="23" spans="1:21" ht="13.5" thickBot="1">
      <c r="A23" s="38" t="s">
        <v>3</v>
      </c>
      <c r="B23" s="39">
        <v>6378.1366</v>
      </c>
      <c r="C23" s="40">
        <v>398600.4356</v>
      </c>
      <c r="D23" s="25"/>
      <c r="J23" s="4"/>
      <c r="K23" s="17"/>
      <c r="L23" s="4"/>
      <c r="M23" s="4"/>
      <c r="N23" s="4"/>
      <c r="O23" s="4"/>
      <c r="P23" s="4"/>
      <c r="Q23" s="4"/>
      <c r="R23" s="18"/>
      <c r="S23" s="4"/>
      <c r="T23" s="4"/>
      <c r="U23" s="4"/>
    </row>
    <row r="24" spans="1:21" ht="13.5" thickBot="1">
      <c r="A24" s="26"/>
      <c r="B24" s="24"/>
      <c r="C24" s="24"/>
      <c r="D24" s="25"/>
      <c r="J24" s="4"/>
      <c r="K24" s="17"/>
      <c r="L24" s="4"/>
      <c r="M24" s="4"/>
      <c r="N24" s="4"/>
      <c r="O24" s="4"/>
      <c r="P24" s="4"/>
      <c r="Q24" s="4"/>
      <c r="R24" s="18"/>
      <c r="S24" s="4"/>
      <c r="T24" s="4"/>
      <c r="U24" s="4"/>
    </row>
    <row r="25" spans="2:21" ht="13.5" thickBot="1">
      <c r="B25" s="118" t="s">
        <v>0</v>
      </c>
      <c r="C25" s="118"/>
      <c r="D25" s="118" t="s">
        <v>1</v>
      </c>
      <c r="E25" s="118"/>
      <c r="R25" s="4"/>
      <c r="S25" s="4"/>
      <c r="T25" s="4"/>
      <c r="U25" s="4"/>
    </row>
    <row r="26" spans="2:6" ht="13.5" thickBot="1">
      <c r="B26" s="100" t="s">
        <v>27</v>
      </c>
      <c r="C26" s="100" t="s">
        <v>28</v>
      </c>
      <c r="D26" s="100" t="s">
        <v>27</v>
      </c>
      <c r="E26" s="102" t="s">
        <v>28</v>
      </c>
      <c r="F26" s="131" t="s">
        <v>13</v>
      </c>
    </row>
    <row r="27" spans="1:6" ht="12.75">
      <c r="A27" s="97" t="s">
        <v>39</v>
      </c>
      <c r="B27" s="54">
        <f>deg*ASIN(RA/(RA+B12))</f>
        <v>68.01867316732498</v>
      </c>
      <c r="C27" s="95">
        <f>deg*ASIN(RA/(RA+B13))</f>
        <v>7.904633116943228</v>
      </c>
      <c r="D27" s="54">
        <f>deg*ASIN(RA/(RA+C12))</f>
        <v>72.761083195788</v>
      </c>
      <c r="E27" s="65">
        <f>deg*ASIN(RA/(RA+C13))</f>
        <v>59.82160553775791</v>
      </c>
      <c r="F27" s="106" t="s">
        <v>22</v>
      </c>
    </row>
    <row r="28" spans="1:6" ht="12.75">
      <c r="A28" s="98" t="s">
        <v>40</v>
      </c>
      <c r="B28" s="56">
        <f>(2*RA+B12+B13)/2</f>
        <v>26628.136599999998</v>
      </c>
      <c r="C28" s="68">
        <f>(2*RA+B12+B13)/2</f>
        <v>26628.136599999998</v>
      </c>
      <c r="D28" s="56">
        <f>(2*RA+C12+C13)/2</f>
        <v>7028.1366</v>
      </c>
      <c r="E28" s="68">
        <f>(2*RA+C12+C13)/2</f>
        <v>7028.1366</v>
      </c>
      <c r="F28" s="52" t="s">
        <v>14</v>
      </c>
    </row>
    <row r="29" spans="1:6" ht="12.75">
      <c r="A29" s="98" t="s">
        <v>41</v>
      </c>
      <c r="B29" s="61">
        <f>(2*PI()*SQRT(((B28)^3)/U))/60</f>
        <v>720.7271755386487</v>
      </c>
      <c r="C29" s="66">
        <f>(2*PI()*SQRT(((C28)^3)/U))/60</f>
        <v>720.7271755386487</v>
      </c>
      <c r="D29" s="61">
        <f>(2*PI()*SQRT(((D28)^3)/U))/60</f>
        <v>97.7282280275427</v>
      </c>
      <c r="E29" s="66">
        <f>(2*PI()*SQRT(((E28)^3)/U))/60</f>
        <v>97.7282280275427</v>
      </c>
      <c r="F29" s="52" t="s">
        <v>18</v>
      </c>
    </row>
    <row r="30" spans="1:6" ht="12.75">
      <c r="A30" s="98" t="s">
        <v>42</v>
      </c>
      <c r="B30" s="96">
        <f>deg*SQRT(U/B28^3)</f>
        <v>0.00832492544146929</v>
      </c>
      <c r="C30" s="94">
        <f>deg*SQRT(U/C28^3)</f>
        <v>0.00832492544146929</v>
      </c>
      <c r="D30" s="96">
        <f>deg*SQRT(U/D28^3)</f>
        <v>0.06139474869337674</v>
      </c>
      <c r="E30" s="94">
        <f>deg*SQRT(U/E28^3)</f>
        <v>0.06139474869337674</v>
      </c>
      <c r="F30" s="52" t="s">
        <v>31</v>
      </c>
    </row>
    <row r="31" spans="1:9" ht="12.75">
      <c r="A31" s="98" t="s">
        <v>63</v>
      </c>
      <c r="B31" s="96">
        <f>B30*B28/(RA+B12)</f>
        <v>0.03222925986091343</v>
      </c>
      <c r="C31" s="94">
        <f>C30*C28/(RA+B13)</f>
        <v>0.004779779182423201</v>
      </c>
      <c r="D31" s="96">
        <f>D30*D28/(RA+C12)</f>
        <v>0.06461243699922568</v>
      </c>
      <c r="E31" s="94">
        <f>E30*E28/(RA+C13)</f>
        <v>0.05848233825593893</v>
      </c>
      <c r="F31" s="52" t="s">
        <v>31</v>
      </c>
      <c r="I31" s="80"/>
    </row>
    <row r="32" spans="1:6" ht="14.25">
      <c r="A32" s="98" t="s">
        <v>43</v>
      </c>
      <c r="B32" s="55">
        <f>deg*ASIN(SIN(B27/deg)*COS(B15/deg))</f>
        <v>67.48468567524802</v>
      </c>
      <c r="C32" s="91">
        <f>deg*ASIN(SIN(C27/deg)*COS(B15/deg))</f>
        <v>7.874362406810499</v>
      </c>
      <c r="D32" s="55">
        <f>deg*ASIN(SIN(D27/deg)*COS(C15/deg))</f>
        <v>72.07178486262815</v>
      </c>
      <c r="E32" s="103">
        <f>deg*ASIN(SIN(E27/deg)*COS(C15/deg))</f>
        <v>59.44875482308327</v>
      </c>
      <c r="F32" s="52" t="s">
        <v>22</v>
      </c>
    </row>
    <row r="33" spans="1:6" ht="14.25">
      <c r="A33" s="98" t="s">
        <v>44</v>
      </c>
      <c r="B33" s="55">
        <f>90-B15-B32</f>
        <v>17.515314324751984</v>
      </c>
      <c r="C33" s="67">
        <f>90-B15-C32</f>
        <v>77.1256375931895</v>
      </c>
      <c r="D33" s="55">
        <f>90-C15-D32</f>
        <v>12.92821513737185</v>
      </c>
      <c r="E33" s="67">
        <f>90-C15-E32</f>
        <v>25.55124517691673</v>
      </c>
      <c r="F33" s="51" t="s">
        <v>22</v>
      </c>
    </row>
    <row r="34" spans="1:6" ht="14.25">
      <c r="A34" s="98" t="s">
        <v>45</v>
      </c>
      <c r="B34" s="56">
        <f>RA*(SIN(B33/deg)/SIN(B32/deg))</f>
        <v>2077.9560792210355</v>
      </c>
      <c r="C34" s="68">
        <f>RA*(SIN(C33/deg)/SIN(C32/deg))</f>
        <v>45384.93965944719</v>
      </c>
      <c r="D34" s="56">
        <f>RA*(SIN(D33/deg)/SIN(D32/deg))</f>
        <v>1499.8074374692594</v>
      </c>
      <c r="E34" s="68">
        <f>RA*(SIN(E33/deg)/SIN(E32/deg))</f>
        <v>3194.480517203093</v>
      </c>
      <c r="F34" s="51" t="s">
        <v>14</v>
      </c>
    </row>
    <row r="35" spans="1:6" ht="14.25">
      <c r="A35" s="98" t="s">
        <v>46</v>
      </c>
      <c r="B35" s="63">
        <f>deg*ASIN(SIN(B16/deg)*SIN(B18/deg)+COS(B16/deg)*COS(B18/deg)*COS((B19-B17)/deg))</f>
        <v>8.242565086231043</v>
      </c>
      <c r="C35" s="69">
        <f>deg*ASIN(SIN(B16/deg)*SIN(B18/deg)+COS(B16/deg)*COS(B18/deg)*COS((B19-B17)/deg))</f>
        <v>8.242565086231043</v>
      </c>
      <c r="D35" s="63">
        <f>deg*ASIN(SIN(C16/deg)*SIN(C18/deg)+COS(C16/deg)*COS(C18/deg)*COS((C19-C17)/deg))</f>
        <v>7.1463277972384915</v>
      </c>
      <c r="E35" s="69">
        <f>deg*ASIN(SIN(C16/deg)*SIN(C18/deg)+COS(C16/deg)*COS(C18/deg)*COS((C19-C17)/deg))</f>
        <v>7.1463277972384915</v>
      </c>
      <c r="F35" s="51" t="s">
        <v>22</v>
      </c>
    </row>
    <row r="36" spans="1:6" ht="14.25">
      <c r="A36" s="98" t="s">
        <v>47</v>
      </c>
      <c r="B36" s="61">
        <f>deg*ATAN((SIN(B27/deg)*SIN(B35/deg))/(1-SIN(B27/deg)*COS(B35/deg)))</f>
        <v>58.248166521450024</v>
      </c>
      <c r="C36" s="66">
        <f>deg*ATAN((SIN(C27/deg)*SIN(C35/deg))/(1-SIN(C27/deg)*COS(C35/deg)))</f>
        <v>1.307395622195078</v>
      </c>
      <c r="D36" s="61">
        <f>deg*ATAN((SIN(D27/deg)*SIN(D35/deg))/(1-SIN(D27/deg)*COS(D35/deg)))</f>
        <v>66.22491538632114</v>
      </c>
      <c r="E36" s="66">
        <f>deg*ATAN((SIN(E27/deg)*SIN(E35/deg))/(1-SIN(E27/deg)*COS(E35/deg)))</f>
        <v>37.08951019497443</v>
      </c>
      <c r="F36" s="51" t="s">
        <v>22</v>
      </c>
    </row>
    <row r="37" spans="1:6" ht="14.25">
      <c r="A37" s="98" t="s">
        <v>48</v>
      </c>
      <c r="B37" s="61">
        <f>90-B36-B35</f>
        <v>23.509268392318933</v>
      </c>
      <c r="C37" s="70">
        <f>90-C36-C35</f>
        <v>80.45003929157389</v>
      </c>
      <c r="D37" s="61">
        <f>90-D36-D35</f>
        <v>16.628756816440365</v>
      </c>
      <c r="E37" s="70">
        <f>90-E36-E35</f>
        <v>45.76416200778708</v>
      </c>
      <c r="F37" s="51" t="s">
        <v>22</v>
      </c>
    </row>
    <row r="38" spans="1:6" ht="14.25">
      <c r="A38" s="98" t="s">
        <v>49</v>
      </c>
      <c r="B38" s="56">
        <f>RA*(SIN(B35/deg)/SIN(B36/deg))</f>
        <v>1075.3362334666065</v>
      </c>
      <c r="C38" s="68">
        <f>RA*(SIN(C35/deg)/SIN(C36/deg))</f>
        <v>40076.31912542888</v>
      </c>
      <c r="D38" s="56">
        <f>RA*(SIN(D35/deg)/SIN(D36/deg))</f>
        <v>867.0463140774209</v>
      </c>
      <c r="E38" s="104">
        <f>RA*(SIN(E35/deg)/SIN(E36/deg))</f>
        <v>1315.7263180956697</v>
      </c>
      <c r="F38" s="51" t="s">
        <v>14</v>
      </c>
    </row>
    <row r="39" spans="1:6" ht="14.25">
      <c r="A39" s="98" t="s">
        <v>50</v>
      </c>
      <c r="B39" s="64">
        <f>B31*(RA+B12)/B38</f>
        <v>0.20614691939248556</v>
      </c>
      <c r="C39" s="92">
        <f>C31*(RA+B13)/C38</f>
        <v>0.005531377548583368</v>
      </c>
      <c r="D39" s="64">
        <f>D31*(RA+C12)/D38</f>
        <v>0.4976558614390168</v>
      </c>
      <c r="E39" s="105">
        <f>E31*(RA+C13)/E38</f>
        <v>0.327948658018976</v>
      </c>
      <c r="F39" s="51" t="s">
        <v>31</v>
      </c>
    </row>
    <row r="40" spans="1:6" ht="12.75">
      <c r="A40" s="98" t="s">
        <v>51</v>
      </c>
      <c r="B40" s="55">
        <f>IF(ABS(TAN(B35/deg)/TAN(B33/deg))&gt;1,"N/A",2*deg*ACOS(TAN(B35/deg)/TAN(B33/deg)))</f>
        <v>125.35334290219011</v>
      </c>
      <c r="C40" s="67">
        <f>IF(ABS(TAN(C35/deg)/TAN(C33/deg))&gt;1,"N/A*",2*deg*ACOS(TAN(C35/deg)/TAN(C33/deg)))</f>
        <v>176.20526059544767</v>
      </c>
      <c r="D40" s="55">
        <f>IF(ABS(TAN(D35/deg)/TAN(D33/deg))&gt;1,"N/A",2*deg*ACOS(TAN(D35/deg)/TAN(D33/deg)))</f>
        <v>113.78767986125303</v>
      </c>
      <c r="E40" s="103">
        <f>IF(ABS(TAN(E35/deg)/TAN(E33/deg))&gt;1,"N/A",2*deg*ACOS(TAN(E35/deg)/TAN(E33/deg)))</f>
        <v>149.59205496578755</v>
      </c>
      <c r="F40" s="51" t="s">
        <v>22</v>
      </c>
    </row>
    <row r="41" spans="1:6" ht="15" customHeight="1">
      <c r="A41" s="98" t="s">
        <v>52</v>
      </c>
      <c r="B41" s="61">
        <f>deg*ACOS((SIN(B35/deg)*SIN(B18/deg)-SIN(B16/deg))/(COS(B35/deg)*COS(B18/deg)))</f>
        <v>116.53077280802496</v>
      </c>
      <c r="C41" s="66">
        <f>deg*ACOS((SIN(C35/deg)*SIN(B18/deg)-SIN(B16/deg))/(COS(C35/deg)*COS(B18/deg)))</f>
        <v>116.53077280802496</v>
      </c>
      <c r="D41" s="61">
        <f>deg*ACOS((SIN(D35/deg)*SIN(C18/deg)-SIN(C16/deg))/(COS(D35/deg)*COS(C18/deg)))</f>
        <v>164.51214911259873</v>
      </c>
      <c r="E41" s="70">
        <f>deg*ACOS((SIN(E35/deg)*SIN(C18/deg)-SIN(C16/deg))/(COS(E35/deg)*COS(C18/deg)))</f>
        <v>164.51214911259873</v>
      </c>
      <c r="F41" s="51" t="s">
        <v>22</v>
      </c>
    </row>
    <row r="42" spans="1:6" ht="13.5" thickBot="1">
      <c r="A42" s="99" t="s">
        <v>53</v>
      </c>
      <c r="B42" s="62">
        <f>IF(B40="N/A","N/A",(2/B31)*deg*ACOS(COS(B33/deg)/COS(B35/deg)))</f>
        <v>962.391198795452</v>
      </c>
      <c r="C42" s="101" t="str">
        <f>IF(C40="N/A*","N/A*",IF(B20&gt;0.4,"N/A",(2/C31)*deg*ACOS(COS(C33/deg)/COS(C35/deg))))</f>
        <v>N/A</v>
      </c>
      <c r="D42" s="62">
        <f>IF(D40="N/A","N/A",(2/D31)*deg*ACOS(COS(D33/deg)/COS(D35/deg)))</f>
        <v>334.3523250269444</v>
      </c>
      <c r="E42" s="101">
        <f>IF(E40="N/A","N/A",IF(D20&gt;0.4,"N/A",(2/E31)*deg*ACOS(COS(E33/deg)/COS(E35/deg))))</f>
        <v>841.1514914512287</v>
      </c>
      <c r="F42" s="53" t="s">
        <v>32</v>
      </c>
    </row>
  </sheetData>
  <mergeCells count="7">
    <mergeCell ref="J15:J17"/>
    <mergeCell ref="G1:I1"/>
    <mergeCell ref="B25:C25"/>
    <mergeCell ref="D25:E25"/>
    <mergeCell ref="A7:C7"/>
    <mergeCell ref="A8:C9"/>
    <mergeCell ref="A6:C6"/>
  </mergeCells>
  <printOptions/>
  <pageMargins left="0.5" right="0.5" top="0.5" bottom="0.5" header="0" footer="0"/>
  <pageSetup fitToHeight="1" fitToWidth="1" horizontalDpi="600" verticalDpi="600" orientation="landscape" scale="88" r:id="rId1"/>
  <ignoredErrors>
    <ignoredError sqref="C40 C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BeckyC</dc:creator>
  <cp:keywords/>
  <dc:description/>
  <cp:lastModifiedBy>AShao</cp:lastModifiedBy>
  <cp:lastPrinted>2012-02-22T20:29:25Z</cp:lastPrinted>
  <dcterms:created xsi:type="dcterms:W3CDTF">2010-03-25T00:28:07Z</dcterms:created>
  <dcterms:modified xsi:type="dcterms:W3CDTF">2012-02-22T22:44:31Z</dcterms:modified>
  <cp:category/>
  <cp:version/>
  <cp:contentType/>
  <cp:contentStatus/>
</cp:coreProperties>
</file>